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9040BAAC-EA26-48F3-9C54-EDDE90912C20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2" l="1"/>
  <c r="N25" i="2"/>
  <c r="N28" i="2" l="1"/>
  <c r="N54" i="2"/>
  <c r="N38" i="2"/>
  <c r="N34" i="2"/>
  <c r="N29" i="2"/>
  <c r="N23" i="2"/>
  <c r="N19" i="2"/>
  <c r="N12" i="2"/>
  <c r="N14" i="2"/>
  <c r="N13" i="2"/>
  <c r="M25" i="2" l="1"/>
  <c r="M54" i="2"/>
  <c r="M38" i="2"/>
  <c r="M34" i="2"/>
  <c r="M28" i="2"/>
  <c r="M23" i="2"/>
  <c r="M19" i="2"/>
  <c r="M16" i="2"/>
  <c r="M12" i="2"/>
  <c r="M14" i="2"/>
  <c r="M13" i="2"/>
  <c r="K58" i="2" l="1"/>
  <c r="K54" i="2"/>
  <c r="K38" i="2" l="1"/>
  <c r="K34" i="2"/>
  <c r="K28" i="2"/>
  <c r="K23" i="2"/>
  <c r="K19" i="2"/>
  <c r="K13" i="2"/>
  <c r="K12" i="2"/>
  <c r="H84" i="2" l="1"/>
  <c r="I84" i="2"/>
  <c r="G25" i="2" l="1"/>
  <c r="G13" i="2"/>
  <c r="G19" i="2"/>
  <c r="G54" i="2"/>
  <c r="G38" i="2"/>
  <c r="G34" i="2"/>
  <c r="G28" i="2"/>
  <c r="G23" i="2"/>
  <c r="G16" i="2"/>
  <c r="G12" i="2"/>
  <c r="F84" i="2" l="1"/>
  <c r="E38" i="2" l="1"/>
  <c r="E25" i="2" l="1"/>
  <c r="E12" i="2"/>
  <c r="E23" i="2" l="1"/>
  <c r="E19" i="2"/>
  <c r="E16" i="2"/>
  <c r="E13" i="2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<sst xmlns="http://schemas.openxmlformats.org/spreadsheetml/2006/main" count="101" uniqueCount="101">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</sst>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3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horizontal="right" vertical="center" wrapText="1"/>
    </xf>
    <xf numFmtId="165" fontId="3" fillId="5" borderId="0" xfId="0" applyNumberFormat="1" applyFont="1" applyFill="1" applyAlignment="1">
      <alignment vertical="center" wrapText="1"/>
    </xf>
    <xf numFmtId="165" fontId="3" fillId="0" borderId="0" xfId="1" applyNumberFormat="1" applyFont="1"/>
    <xf numFmtId="0" fontId="9" fillId="0" borderId="0" xfId="0" applyFont="1"/>
    <xf numFmtId="165" fontId="3" fillId="0" borderId="0" xfId="0" applyNumberFormat="1" applyFont="1" applyAlignment="1">
      <alignment horizontal="left" vertical="center" wrapText="1"/>
    </xf>
    <xf numFmtId="37" fontId="3" fillId="0" borderId="0" xfId="1" applyNumberFormat="1" applyFont="1" applyAlignment="1">
      <alignment horizontal="right"/>
    </xf>
    <xf numFmtId="165" fontId="3" fillId="0" borderId="0" xfId="0" applyNumberFormat="1" applyFont="1" applyFill="1" applyAlignment="1">
      <alignment horizontal="left" vertical="center" wrapText="1"/>
    </xf>
    <xf numFmtId="3" fontId="3" fillId="0" borderId="0" xfId="1" applyNumberFormat="1" applyFont="1" applyFill="1"/>
    <xf numFmtId="165" fontId="3" fillId="0" borderId="0" xfId="0" applyNumberFormat="1" applyFont="1" applyFill="1"/>
    <xf numFmtId="43" fontId="3" fillId="0" borderId="0" xfId="1" applyFont="1" applyFill="1" applyAlignment="1">
      <alignment horizontal="center" vertical="center" wrapText="1"/>
    </xf>
    <xf numFmtId="165" fontId="5" fillId="4" borderId="2" xfId="0" applyNumberFormat="1" applyFont="1" applyFill="1" applyBorder="1"/>
    <xf numFmtId="165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/>
    </xf>
    <xf numFmtId="165" fontId="5" fillId="6" borderId="2" xfId="0" applyNumberFormat="1" applyFont="1" applyFill="1" applyBorder="1"/>
    <xf numFmtId="43" fontId="10" fillId="0" borderId="0" xfId="1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3"/>
  <sheetViews>
    <sheetView showGridLines="0" tabSelected="1" zoomScale="60" zoomScaleNormal="60" zoomScaleSheetLayoutView="30" workbookViewId="0">
      <pane xSplit="1" topLeftCell="B1" activePane="topRight" state="frozen"/>
      <selection pane="topRight" activeCell="O79" sqref="O79"/>
    </sheetView>
  </sheetViews>
  <sheetFormatPr baseColWidth="10" defaultColWidth="11.42578125" defaultRowHeight="20.25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21.140625" style="2" customWidth="1"/>
    <col min="8" max="8" width="24.85546875" style="2" customWidth="1"/>
    <col min="9" max="9" width="23.140625" style="2" customWidth="1"/>
    <col min="10" max="10" width="21.28515625" style="2" bestFit="1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>
      <c r="A3" s="72" t="s">
        <v>93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7">
      <c r="A4" s="76">
        <v>2023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</row>
    <row r="5" spans="1:17" ht="21" customHeight="1">
      <c r="A5" s="72" t="s">
        <v>90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ht="21.75" customHeight="1">
      <c r="A6" s="68" t="s">
        <v>75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8" spans="1:17" ht="25.5" customHeight="1">
      <c r="A8" s="73" t="s">
        <v>65</v>
      </c>
      <c r="B8" s="74" t="s">
        <v>92</v>
      </c>
      <c r="C8" s="74" t="s">
        <v>91</v>
      </c>
      <c r="D8" s="69" t="s">
        <v>89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1"/>
    </row>
    <row r="9" spans="1:17">
      <c r="A9" s="73"/>
      <c r="B9" s="75"/>
      <c r="C9" s="75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>
      <c r="A11" s="7" t="s">
        <v>1</v>
      </c>
      <c r="B11" s="8"/>
      <c r="C11" s="8"/>
    </row>
    <row r="12" spans="1:17">
      <c r="A12" s="9" t="s">
        <v>2</v>
      </c>
      <c r="B12" s="34">
        <v>2831037714</v>
      </c>
      <c r="C12" s="10">
        <v>0</v>
      </c>
      <c r="D12" s="18">
        <v>192981156</v>
      </c>
      <c r="E12" s="39">
        <f>29192119+26563993+52026064+31948475+1446810+6469114+12294308+9891749</f>
        <v>169832632</v>
      </c>
      <c r="F12" s="55">
        <v>184664359</v>
      </c>
      <c r="G12" s="43">
        <f>39512393+37809050+75029991+84440245+1516540+3653078+10461424</f>
        <v>252422721</v>
      </c>
      <c r="H12" s="55">
        <v>228672288</v>
      </c>
      <c r="I12" s="12">
        <v>247142469</v>
      </c>
      <c r="J12" s="44">
        <v>254636659</v>
      </c>
      <c r="K12" s="57">
        <f>33999274+32208554+64609693+104585489+1218646+3568360+11419363</f>
        <v>251609379</v>
      </c>
      <c r="L12" s="13">
        <v>251557165</v>
      </c>
      <c r="M12" s="13">
        <f>+(33984564+33075776+64331783+108610230+917405+5098919)+17498078+12037258</f>
        <v>275554013</v>
      </c>
      <c r="N12" s="13">
        <f>35257348.21+32644079+65358829+114655083+968977+4621213+832200+11981257</f>
        <v>266318986.21000001</v>
      </c>
      <c r="O12" s="16">
        <v>293576234</v>
      </c>
      <c r="P12" s="14">
        <f>SUM(D12:O12)</f>
        <v>2868968061.21</v>
      </c>
    </row>
    <row r="13" spans="1:17">
      <c r="A13" s="9" t="s">
        <v>3</v>
      </c>
      <c r="B13" s="34">
        <v>62310000</v>
      </c>
      <c r="C13" s="10">
        <v>0</v>
      </c>
      <c r="D13" s="18">
        <v>4982495</v>
      </c>
      <c r="E13" s="11">
        <f>3718174+1567498</f>
        <v>5285672</v>
      </c>
      <c r="F13" s="41">
        <v>5237128</v>
      </c>
      <c r="G13" s="41">
        <f>2811507+3414785</f>
        <v>6226292</v>
      </c>
      <c r="H13" s="41">
        <v>6307786</v>
      </c>
      <c r="I13" s="13">
        <v>6061196</v>
      </c>
      <c r="J13" s="25">
        <v>5695519</v>
      </c>
      <c r="K13" s="25">
        <f>3029301+3774464</f>
        <v>6803765</v>
      </c>
      <c r="L13" s="13">
        <v>6235305</v>
      </c>
      <c r="M13" s="13">
        <f>2387619+(3907349-12417)</f>
        <v>6282551</v>
      </c>
      <c r="N13" s="13">
        <f>2475171+4064850.33</f>
        <v>6540021.3300000001</v>
      </c>
      <c r="O13" s="16">
        <v>6437281</v>
      </c>
      <c r="P13" s="14">
        <f t="shared" ref="P13:P16" si="0">SUM(D13:O13)</f>
        <v>72095011.329999998</v>
      </c>
    </row>
    <row r="14" spans="1:17">
      <c r="A14" s="9" t="s">
        <v>4</v>
      </c>
      <c r="B14" s="34">
        <v>11452000</v>
      </c>
      <c r="C14" s="10">
        <v>0</v>
      </c>
      <c r="D14" s="18">
        <v>110000</v>
      </c>
      <c r="E14" s="19">
        <v>1372644</v>
      </c>
      <c r="F14" s="42">
        <v>688000</v>
      </c>
      <c r="G14" s="42">
        <v>1403845</v>
      </c>
      <c r="H14" s="42">
        <v>583839</v>
      </c>
      <c r="I14" s="11">
        <v>452000</v>
      </c>
      <c r="J14" s="19">
        <v>654000</v>
      </c>
      <c r="K14" s="25">
        <v>1242000</v>
      </c>
      <c r="L14" s="13">
        <v>736955</v>
      </c>
      <c r="M14" s="13">
        <f>832000+432000+96000</f>
        <v>1360000</v>
      </c>
      <c r="N14" s="13">
        <f>346000+408000+96000</f>
        <v>850000</v>
      </c>
      <c r="O14" s="16">
        <v>840400</v>
      </c>
      <c r="P14" s="14">
        <f t="shared" si="0"/>
        <v>10293683</v>
      </c>
      <c r="Q14" s="20"/>
    </row>
    <row r="15" spans="1:17">
      <c r="A15" s="9" t="s">
        <v>5</v>
      </c>
      <c r="B15" s="34">
        <v>195000000</v>
      </c>
      <c r="C15" s="10">
        <v>0</v>
      </c>
      <c r="D15" s="18">
        <v>73341572</v>
      </c>
      <c r="E15" s="21">
        <v>11438090</v>
      </c>
      <c r="F15" s="15">
        <v>10555600</v>
      </c>
      <c r="G15" s="15">
        <v>14554500</v>
      </c>
      <c r="H15" s="39">
        <v>21479122</v>
      </c>
      <c r="I15" s="11">
        <v>91968826</v>
      </c>
      <c r="J15" s="19">
        <v>29437114</v>
      </c>
      <c r="K15" s="25">
        <v>12159880</v>
      </c>
      <c r="L15" s="13">
        <v>12516500</v>
      </c>
      <c r="M15" s="13">
        <v>10621400</v>
      </c>
      <c r="N15" s="13">
        <v>10169890</v>
      </c>
      <c r="O15" s="16">
        <v>13371826</v>
      </c>
      <c r="P15" s="14">
        <f t="shared" si="0"/>
        <v>311614320</v>
      </c>
    </row>
    <row r="16" spans="1:17" s="45" customFormat="1">
      <c r="A16" s="40" t="s">
        <v>6</v>
      </c>
      <c r="B16" s="35">
        <v>406482106</v>
      </c>
      <c r="C16" s="22">
        <v>0</v>
      </c>
      <c r="D16" s="18">
        <v>28174163</v>
      </c>
      <c r="E16" s="18">
        <f>48997844-11438090-949749</f>
        <v>36610005</v>
      </c>
      <c r="F16" s="18">
        <v>26523145</v>
      </c>
      <c r="G16" s="18">
        <f>58039397-10461424-14554500-945281</f>
        <v>32078192</v>
      </c>
      <c r="H16" s="42">
        <v>32934550</v>
      </c>
      <c r="I16" s="19">
        <v>35899339</v>
      </c>
      <c r="J16" s="19">
        <v>36151314</v>
      </c>
      <c r="K16" s="25">
        <v>36556519</v>
      </c>
      <c r="L16" s="25">
        <v>35897016</v>
      </c>
      <c r="M16" s="25">
        <f>36040583-1187576</f>
        <v>34853007</v>
      </c>
      <c r="N16" s="25">
        <v>38848724</v>
      </c>
      <c r="O16" s="24">
        <v>36839747</v>
      </c>
      <c r="P16" s="14">
        <f t="shared" si="0"/>
        <v>411365721</v>
      </c>
    </row>
    <row r="17" spans="1:24">
      <c r="A17" s="7" t="s">
        <v>7</v>
      </c>
      <c r="B17" s="8"/>
      <c r="C17" s="8"/>
      <c r="D17" s="45"/>
      <c r="E17" s="17"/>
      <c r="J17" s="45"/>
      <c r="K17" s="24"/>
      <c r="O17" s="16"/>
    </row>
    <row r="18" spans="1:24">
      <c r="A18" s="9" t="s">
        <v>8</v>
      </c>
      <c r="B18" s="35">
        <v>126148000</v>
      </c>
      <c r="C18" s="10">
        <v>0</v>
      </c>
      <c r="D18" s="18">
        <v>12562308</v>
      </c>
      <c r="E18" s="13">
        <v>8036882</v>
      </c>
      <c r="F18" s="13">
        <v>8089149</v>
      </c>
      <c r="G18" s="13">
        <v>11818139</v>
      </c>
      <c r="H18" s="11">
        <v>9221775</v>
      </c>
      <c r="I18" s="11">
        <v>12836379</v>
      </c>
      <c r="J18" s="19">
        <v>13015467</v>
      </c>
      <c r="K18" s="25">
        <v>11131128</v>
      </c>
      <c r="L18" s="13">
        <v>11417354</v>
      </c>
      <c r="M18" s="13">
        <v>16153293</v>
      </c>
      <c r="N18" s="13">
        <v>11345472</v>
      </c>
      <c r="O18" s="16">
        <v>9905529</v>
      </c>
      <c r="P18" s="17">
        <f>SUM(D18:O18)</f>
        <v>135532875</v>
      </c>
    </row>
    <row r="19" spans="1:24">
      <c r="A19" s="9" t="s">
        <v>9</v>
      </c>
      <c r="B19" s="35">
        <v>58370000</v>
      </c>
      <c r="C19" s="10">
        <v>0</v>
      </c>
      <c r="D19" s="18">
        <v>6531053</v>
      </c>
      <c r="E19" s="15">
        <f>2623252+6419762</f>
        <v>9043014</v>
      </c>
      <c r="F19" s="15">
        <v>36518764</v>
      </c>
      <c r="G19" s="21">
        <f>10314699+998862</f>
        <v>11313561</v>
      </c>
      <c r="H19" s="11">
        <v>5916011</v>
      </c>
      <c r="I19" s="11">
        <v>5266901</v>
      </c>
      <c r="J19" s="19">
        <v>6042674</v>
      </c>
      <c r="K19" s="25">
        <f>2585268+5361454</f>
        <v>7946722</v>
      </c>
      <c r="L19" s="13">
        <v>5856975</v>
      </c>
      <c r="M19" s="13">
        <f>2798973+1980717</f>
        <v>4779690</v>
      </c>
      <c r="N19" s="13">
        <f>1015931+3347304</f>
        <v>4363235</v>
      </c>
      <c r="O19" s="16">
        <v>8587140</v>
      </c>
      <c r="P19" s="17">
        <f t="shared" ref="P19" si="1">SUM(D19:O19)</f>
        <v>112165740</v>
      </c>
      <c r="X19" s="16"/>
    </row>
    <row r="20" spans="1:24">
      <c r="A20" s="9" t="s">
        <v>10</v>
      </c>
      <c r="B20" s="35">
        <v>33984500</v>
      </c>
      <c r="C20" s="10">
        <v>0</v>
      </c>
      <c r="D20" s="18">
        <v>3166562</v>
      </c>
      <c r="E20" s="50">
        <v>3125324</v>
      </c>
      <c r="F20" s="13">
        <v>4134123</v>
      </c>
      <c r="G20" s="21">
        <v>2456273</v>
      </c>
      <c r="H20" s="11">
        <v>3752939</v>
      </c>
      <c r="I20" s="11">
        <v>3434806</v>
      </c>
      <c r="J20" s="19">
        <v>3663116</v>
      </c>
      <c r="K20" s="25">
        <v>3236115</v>
      </c>
      <c r="L20" s="13">
        <v>3430419</v>
      </c>
      <c r="M20" s="13">
        <v>3232318</v>
      </c>
      <c r="N20" s="13">
        <v>3348867</v>
      </c>
      <c r="O20" s="16">
        <v>2031417</v>
      </c>
      <c r="P20" s="17">
        <f>SUM(D20:O20)</f>
        <v>39012279</v>
      </c>
      <c r="X20" s="16"/>
    </row>
    <row r="21" spans="1:24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6">
        <v>0</v>
      </c>
      <c r="K21" s="59">
        <v>0</v>
      </c>
      <c r="L21" s="26">
        <v>0</v>
      </c>
      <c r="M21" s="26">
        <v>0</v>
      </c>
      <c r="N21" s="26">
        <v>0</v>
      </c>
      <c r="O21" s="26">
        <v>0</v>
      </c>
      <c r="P21" s="17">
        <f t="shared" ref="P21:P26" si="2">SUM(D21:O21)</f>
        <v>0</v>
      </c>
      <c r="X21" s="16"/>
    </row>
    <row r="22" spans="1:24">
      <c r="A22" s="9" t="s">
        <v>12</v>
      </c>
      <c r="B22" s="35">
        <v>10070000</v>
      </c>
      <c r="C22" s="10">
        <v>0</v>
      </c>
      <c r="D22" s="18">
        <v>236895</v>
      </c>
      <c r="E22" s="15">
        <v>292946</v>
      </c>
      <c r="F22" s="13">
        <v>606964</v>
      </c>
      <c r="G22" s="21">
        <v>963656</v>
      </c>
      <c r="H22" s="39">
        <v>828507</v>
      </c>
      <c r="I22" s="11">
        <v>1798503</v>
      </c>
      <c r="J22" s="19">
        <v>1020550</v>
      </c>
      <c r="K22" s="25">
        <v>815594</v>
      </c>
      <c r="L22" s="13">
        <v>1144116</v>
      </c>
      <c r="M22" s="13">
        <v>629914</v>
      </c>
      <c r="N22" s="13">
        <v>1067733</v>
      </c>
      <c r="O22" s="16">
        <v>927707</v>
      </c>
      <c r="P22" s="17">
        <f t="shared" si="2"/>
        <v>10333085</v>
      </c>
      <c r="X22" s="16"/>
    </row>
    <row r="23" spans="1:24">
      <c r="A23" s="9" t="s">
        <v>13</v>
      </c>
      <c r="B23" s="35">
        <v>86210000</v>
      </c>
      <c r="C23" s="10">
        <v>0</v>
      </c>
      <c r="D23" s="18">
        <v>5477403</v>
      </c>
      <c r="E23" s="15">
        <f>4687001+949749</f>
        <v>5636750</v>
      </c>
      <c r="F23" s="15">
        <v>5634587</v>
      </c>
      <c r="G23" s="21">
        <f>17525491+945280</f>
        <v>18470771</v>
      </c>
      <c r="H23" s="15">
        <v>12329099</v>
      </c>
      <c r="I23" s="11">
        <v>6428185</v>
      </c>
      <c r="J23" s="18">
        <v>6132843</v>
      </c>
      <c r="K23" s="18">
        <f>964336+6625483</f>
        <v>7589819</v>
      </c>
      <c r="L23" s="18">
        <v>10417672</v>
      </c>
      <c r="M23" s="18">
        <f>6854056+1187576</f>
        <v>8041632</v>
      </c>
      <c r="N23" s="18">
        <f>9159624+1195654</f>
        <v>10355278</v>
      </c>
      <c r="O23" s="18">
        <v>10663205</v>
      </c>
      <c r="P23" s="17">
        <f>SUM(D23:O23)</f>
        <v>107177244</v>
      </c>
      <c r="X23" s="16"/>
    </row>
    <row r="24" spans="1:24" ht="41.25" customHeight="1">
      <c r="A24" s="38" t="s">
        <v>14</v>
      </c>
      <c r="B24" s="35">
        <v>82890000</v>
      </c>
      <c r="C24" s="10">
        <v>0</v>
      </c>
      <c r="D24" s="18">
        <v>18753801</v>
      </c>
      <c r="E24" s="18">
        <v>18527468</v>
      </c>
      <c r="F24" s="18">
        <v>40535847</v>
      </c>
      <c r="G24" s="18">
        <v>25712550</v>
      </c>
      <c r="H24" s="18">
        <v>26393096</v>
      </c>
      <c r="I24" s="18">
        <v>22675903</v>
      </c>
      <c r="J24" s="18">
        <v>37990042</v>
      </c>
      <c r="K24" s="18">
        <v>49794017</v>
      </c>
      <c r="L24" s="18">
        <v>23133980</v>
      </c>
      <c r="M24" s="49">
        <v>2222074</v>
      </c>
      <c r="N24" s="15">
        <v>0</v>
      </c>
      <c r="O24" s="49">
        <v>10554303</v>
      </c>
      <c r="P24" s="61">
        <f t="shared" si="2"/>
        <v>276293081</v>
      </c>
      <c r="X24" s="16"/>
    </row>
    <row r="25" spans="1:24">
      <c r="A25" s="40" t="s">
        <v>15</v>
      </c>
      <c r="B25" s="35">
        <v>1341524947</v>
      </c>
      <c r="C25" s="10">
        <v>0</v>
      </c>
      <c r="D25" s="18">
        <v>61855270</v>
      </c>
      <c r="E25" s="51">
        <f>7511573+806341+5389896+29795+3098866+1490421+46555589+1830333+10458731+7101264+123748</f>
        <v>84396557</v>
      </c>
      <c r="F25" s="18">
        <v>96362091</v>
      </c>
      <c r="G25" s="23">
        <f>2694775+479029+1802554+886505+7979978+42070608+2707684+12141703+10525941-100398</f>
        <v>81188379</v>
      </c>
      <c r="H25" s="19">
        <v>115253671</v>
      </c>
      <c r="I25" s="19">
        <v>91196586</v>
      </c>
      <c r="J25" s="19">
        <v>162479583</v>
      </c>
      <c r="K25" s="25">
        <v>63881038</v>
      </c>
      <c r="L25" s="25">
        <v>107926054</v>
      </c>
      <c r="M25" s="25">
        <f>534746+10281708+1127354+6521847+4679819+69973+3751441+13745609+37542763+3609030+13204732+11567345+687220</f>
        <v>107323587</v>
      </c>
      <c r="N25" s="25">
        <f>700997+22847036+834114+40120+6377972+213397+2228657+11408725+59029514+2664913+11617326+8953586-48697908</f>
        <v>78218449</v>
      </c>
      <c r="O25" s="24">
        <v>130039049</v>
      </c>
      <c r="P25" s="17">
        <f t="shared" si="2"/>
        <v>1180120314</v>
      </c>
      <c r="X25" s="16"/>
    </row>
    <row r="26" spans="1:24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6">
        <v>0</v>
      </c>
      <c r="K26" s="46">
        <v>0</v>
      </c>
      <c r="L26" s="15">
        <v>0</v>
      </c>
      <c r="M26" s="15">
        <v>0</v>
      </c>
      <c r="N26" s="18">
        <v>0</v>
      </c>
      <c r="O26" s="10">
        <v>0</v>
      </c>
      <c r="P26" s="17">
        <f t="shared" si="2"/>
        <v>0</v>
      </c>
      <c r="X26" s="16"/>
    </row>
    <row r="27" spans="1:24">
      <c r="A27" s="7" t="s">
        <v>17</v>
      </c>
      <c r="B27" s="8"/>
      <c r="C27" s="8"/>
      <c r="D27" s="45"/>
      <c r="J27" s="45"/>
      <c r="K27" s="24"/>
      <c r="O27" s="16"/>
      <c r="X27" s="16"/>
    </row>
    <row r="28" spans="1:24">
      <c r="A28" s="9" t="s">
        <v>18</v>
      </c>
      <c r="B28" s="35">
        <v>56510000</v>
      </c>
      <c r="C28" s="10">
        <v>0</v>
      </c>
      <c r="D28" s="18">
        <v>1529096</v>
      </c>
      <c r="E28" s="15">
        <v>2612498</v>
      </c>
      <c r="F28" s="21">
        <v>3163218</v>
      </c>
      <c r="G28" s="21">
        <f>8092273+700419</f>
        <v>8792692</v>
      </c>
      <c r="H28" s="15">
        <v>16495289</v>
      </c>
      <c r="I28" s="23">
        <v>2418154</v>
      </c>
      <c r="J28" s="23">
        <v>5998474</v>
      </c>
      <c r="K28" s="25">
        <f>4373001+7576884</f>
        <v>11949885</v>
      </c>
      <c r="L28" s="13">
        <v>14035304</v>
      </c>
      <c r="M28" s="13">
        <f>+(235694-65045)+(3559550-1694423)</f>
        <v>2035776</v>
      </c>
      <c r="N28" s="25">
        <f>+(3655328-879323)-1382230</f>
        <v>1393775</v>
      </c>
      <c r="O28" s="16">
        <v>7639488</v>
      </c>
      <c r="P28" s="17">
        <f>SUM(D28:O28)</f>
        <v>78063649</v>
      </c>
      <c r="X28" s="16"/>
    </row>
    <row r="29" spans="1:24">
      <c r="A29" s="9" t="s">
        <v>19</v>
      </c>
      <c r="B29" s="35">
        <v>2680000</v>
      </c>
      <c r="C29" s="10">
        <v>0</v>
      </c>
      <c r="D29" s="18">
        <v>217486</v>
      </c>
      <c r="E29" s="15">
        <v>184009</v>
      </c>
      <c r="F29" s="21">
        <v>232585</v>
      </c>
      <c r="G29" s="21">
        <v>8758</v>
      </c>
      <c r="H29" s="15">
        <v>293088</v>
      </c>
      <c r="I29" s="23">
        <v>358873</v>
      </c>
      <c r="J29" s="23">
        <v>149385</v>
      </c>
      <c r="K29" s="25">
        <v>194735</v>
      </c>
      <c r="L29" s="13">
        <v>780699</v>
      </c>
      <c r="M29" s="13">
        <v>21276</v>
      </c>
      <c r="N29" s="13">
        <f>280921.89-10380</f>
        <v>270541.89</v>
      </c>
      <c r="O29" s="16">
        <v>294319</v>
      </c>
      <c r="P29" s="17">
        <f>SUM(D29:O29)</f>
        <v>3005754.89</v>
      </c>
    </row>
    <row r="30" spans="1:24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>
        <v>0</v>
      </c>
      <c r="M30" s="15">
        <v>0</v>
      </c>
      <c r="N30" s="15">
        <v>0</v>
      </c>
      <c r="O30" s="10">
        <v>0</v>
      </c>
      <c r="P30" s="17">
        <f t="shared" ref="P30:P33" si="3">SUM(D30:O30)</f>
        <v>0</v>
      </c>
    </row>
    <row r="31" spans="1:24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>
        <v>0</v>
      </c>
      <c r="M31" s="15">
        <v>0</v>
      </c>
      <c r="N31" s="15">
        <v>0</v>
      </c>
      <c r="O31" s="10">
        <v>0</v>
      </c>
      <c r="P31" s="17">
        <f t="shared" si="3"/>
        <v>0</v>
      </c>
    </row>
    <row r="32" spans="1:24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>
        <v>0</v>
      </c>
      <c r="M32" s="15">
        <v>0</v>
      </c>
      <c r="N32" s="15">
        <v>0</v>
      </c>
      <c r="O32" s="10">
        <v>0</v>
      </c>
      <c r="P32" s="17">
        <f t="shared" si="3"/>
        <v>0</v>
      </c>
    </row>
    <row r="33" spans="1:24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>
        <v>0</v>
      </c>
      <c r="M33" s="15">
        <v>0</v>
      </c>
      <c r="N33" s="15">
        <v>0</v>
      </c>
      <c r="O33" s="10">
        <v>0</v>
      </c>
      <c r="P33" s="17">
        <f t="shared" si="3"/>
        <v>0</v>
      </c>
      <c r="X33" s="16"/>
    </row>
    <row r="34" spans="1:24">
      <c r="A34" s="40" t="s">
        <v>24</v>
      </c>
      <c r="B34" s="34">
        <v>80979275</v>
      </c>
      <c r="C34" s="10">
        <v>0</v>
      </c>
      <c r="D34" s="14">
        <v>5649408</v>
      </c>
      <c r="E34" s="15">
        <v>6142709</v>
      </c>
      <c r="F34" s="21">
        <v>6648756</v>
      </c>
      <c r="G34" s="21">
        <f>7115985+353613</f>
        <v>7469598</v>
      </c>
      <c r="H34" s="21">
        <v>6460897</v>
      </c>
      <c r="I34" s="21">
        <v>7050814</v>
      </c>
      <c r="J34" s="23">
        <v>7039892</v>
      </c>
      <c r="K34" s="25">
        <f>6614912+176485</f>
        <v>6791397</v>
      </c>
      <c r="L34" s="13">
        <v>6994272</v>
      </c>
      <c r="M34" s="13">
        <f>7464930-652186</f>
        <v>6812744</v>
      </c>
      <c r="N34" s="13">
        <f>7507589-585528</f>
        <v>6922061</v>
      </c>
      <c r="O34" s="16">
        <v>7002840</v>
      </c>
      <c r="P34" s="17">
        <f>SUM(D34:O34)</f>
        <v>80985388</v>
      </c>
      <c r="X34" s="16"/>
    </row>
    <row r="35" spans="1:24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54">
        <v>0</v>
      </c>
      <c r="G35" s="15">
        <v>0</v>
      </c>
      <c r="H35" s="10">
        <v>0</v>
      </c>
      <c r="I35" s="21">
        <v>0</v>
      </c>
      <c r="J35" s="56">
        <v>0</v>
      </c>
      <c r="K35" s="18">
        <v>0</v>
      </c>
      <c r="L35" s="15">
        <v>0</v>
      </c>
      <c r="M35" s="15">
        <v>0</v>
      </c>
      <c r="N35" s="15">
        <v>0</v>
      </c>
      <c r="O35" s="62">
        <v>0</v>
      </c>
      <c r="P35" s="17">
        <f>SUM(D35:O35)</f>
        <v>0</v>
      </c>
      <c r="X35" s="16"/>
    </row>
    <row r="36" spans="1:24">
      <c r="A36" s="9" t="s">
        <v>26</v>
      </c>
      <c r="B36" s="35">
        <v>183622880</v>
      </c>
      <c r="C36" s="10">
        <v>0</v>
      </c>
      <c r="D36" s="14">
        <v>10338678</v>
      </c>
      <c r="E36" s="15">
        <v>21273843</v>
      </c>
      <c r="F36" s="21">
        <v>19730642</v>
      </c>
      <c r="G36" s="21">
        <v>14819997</v>
      </c>
      <c r="H36" s="21">
        <v>19771188</v>
      </c>
      <c r="I36" s="23">
        <v>20340608</v>
      </c>
      <c r="J36" s="23">
        <v>18323625</v>
      </c>
      <c r="K36" s="25">
        <v>18961635</v>
      </c>
      <c r="L36" s="13">
        <v>21745378</v>
      </c>
      <c r="M36" s="13">
        <v>21268357</v>
      </c>
      <c r="N36" s="13">
        <v>16766557</v>
      </c>
      <c r="O36" s="16">
        <v>7201021</v>
      </c>
      <c r="P36" s="17">
        <f>SUM(D36:O36)</f>
        <v>210541529</v>
      </c>
      <c r="X36" s="16"/>
    </row>
    <row r="37" spans="1:24">
      <c r="A37" s="7" t="s">
        <v>27</v>
      </c>
      <c r="B37" s="8"/>
      <c r="C37" s="8"/>
      <c r="J37" s="45"/>
      <c r="K37" s="24"/>
      <c r="O37" s="16"/>
      <c r="X37" s="16"/>
    </row>
    <row r="38" spans="1:24">
      <c r="A38" s="9" t="s">
        <v>28</v>
      </c>
      <c r="B38" s="34">
        <v>58000000</v>
      </c>
      <c r="C38" s="10">
        <v>0</v>
      </c>
      <c r="D38" s="15">
        <v>2926960</v>
      </c>
      <c r="E38" s="18">
        <f>1340869+2398248</f>
        <v>3739117</v>
      </c>
      <c r="F38" s="21">
        <v>3560178</v>
      </c>
      <c r="G38" s="21">
        <f>2672328+9421902+643158+235000+131142</f>
        <v>13103530</v>
      </c>
      <c r="H38" s="21">
        <v>4283582</v>
      </c>
      <c r="I38" s="21">
        <v>6212365</v>
      </c>
      <c r="J38" s="23">
        <v>7690908</v>
      </c>
      <c r="K38" s="25">
        <f>100000+172095+1264925+153627+2466768</f>
        <v>4157415</v>
      </c>
      <c r="L38" s="13">
        <v>6498858</v>
      </c>
      <c r="M38" s="13">
        <f>1002547+73830+814496+2599740</f>
        <v>4490613</v>
      </c>
      <c r="N38" s="13">
        <f>+(4388982-2860)+276025+303253+2599740</f>
        <v>7565140</v>
      </c>
      <c r="O38" s="16">
        <v>3972970</v>
      </c>
      <c r="P38" s="17">
        <f>SUM(D38:O38)</f>
        <v>68201636</v>
      </c>
    </row>
    <row r="39" spans="1:24">
      <c r="A39" s="9"/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>
        <v>0</v>
      </c>
      <c r="L39" s="10">
        <v>0</v>
      </c>
      <c r="M39" s="10">
        <v>0</v>
      </c>
      <c r="N39" s="10">
        <v>0</v>
      </c>
      <c r="O39" s="62">
        <v>0</v>
      </c>
      <c r="P39" s="17">
        <f t="shared" ref="P39:P45" si="4">SUM(D39:O39)</f>
        <v>0</v>
      </c>
    </row>
    <row r="40" spans="1:24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>
        <v>0</v>
      </c>
      <c r="M40" s="10">
        <v>0</v>
      </c>
      <c r="N40" s="10">
        <v>0</v>
      </c>
      <c r="O40" s="62">
        <v>0</v>
      </c>
      <c r="P40" s="17">
        <f t="shared" si="4"/>
        <v>0</v>
      </c>
    </row>
    <row r="41" spans="1:24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>
        <v>0</v>
      </c>
      <c r="M41" s="10">
        <v>0</v>
      </c>
      <c r="N41" s="10">
        <v>0</v>
      </c>
      <c r="O41" s="62">
        <v>0</v>
      </c>
      <c r="P41" s="17">
        <f t="shared" si="4"/>
        <v>0</v>
      </c>
      <c r="X41" s="16"/>
    </row>
    <row r="42" spans="1:24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>
        <v>0</v>
      </c>
      <c r="M42" s="10">
        <v>0</v>
      </c>
      <c r="N42" s="10">
        <v>0</v>
      </c>
      <c r="O42" s="62">
        <v>0</v>
      </c>
      <c r="P42" s="17">
        <f t="shared" si="4"/>
        <v>0</v>
      </c>
      <c r="X42" s="16"/>
    </row>
    <row r="43" spans="1:24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62">
        <v>0</v>
      </c>
      <c r="P43" s="17">
        <f t="shared" si="4"/>
        <v>0</v>
      </c>
      <c r="X43" s="16"/>
    </row>
    <row r="44" spans="1:24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>
        <v>0</v>
      </c>
      <c r="M44" s="10">
        <v>0</v>
      </c>
      <c r="N44" s="10">
        <v>0</v>
      </c>
      <c r="O44" s="62">
        <v>0</v>
      </c>
      <c r="P44" s="17">
        <f t="shared" si="4"/>
        <v>0</v>
      </c>
      <c r="X44" s="16"/>
    </row>
    <row r="45" spans="1:24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>
        <v>0</v>
      </c>
      <c r="M45" s="10">
        <v>0</v>
      </c>
      <c r="N45" s="10">
        <v>0</v>
      </c>
      <c r="O45" s="62">
        <v>0</v>
      </c>
      <c r="P45" s="17">
        <f t="shared" si="4"/>
        <v>0</v>
      </c>
      <c r="X45" s="16"/>
    </row>
    <row r="46" spans="1:24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7"/>
      <c r="K46" s="47"/>
      <c r="L46" s="8"/>
      <c r="M46" s="8"/>
      <c r="O46" s="16"/>
      <c r="X46" s="16"/>
    </row>
    <row r="47" spans="1:24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>
        <v>0</v>
      </c>
      <c r="M47" s="10">
        <v>0</v>
      </c>
      <c r="N47" s="10">
        <v>0</v>
      </c>
      <c r="O47" s="10">
        <v>0</v>
      </c>
      <c r="P47" s="17">
        <f t="shared" ref="P47:P52" si="5">SUM(D47:O47)</f>
        <v>0</v>
      </c>
      <c r="X47" s="16"/>
    </row>
    <row r="48" spans="1:24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>
        <v>0</v>
      </c>
      <c r="M48" s="10">
        <v>0</v>
      </c>
      <c r="N48" s="10">
        <v>0</v>
      </c>
      <c r="O48" s="10">
        <v>0</v>
      </c>
      <c r="P48" s="17">
        <f t="shared" si="5"/>
        <v>0</v>
      </c>
      <c r="X48" s="16"/>
    </row>
    <row r="49" spans="1:24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>
        <v>0</v>
      </c>
      <c r="M49" s="10">
        <v>0</v>
      </c>
      <c r="N49" s="10">
        <v>0</v>
      </c>
      <c r="O49" s="10">
        <v>0</v>
      </c>
      <c r="P49" s="17">
        <f t="shared" si="5"/>
        <v>0</v>
      </c>
      <c r="X49" s="16"/>
    </row>
    <row r="50" spans="1:24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>
        <v>0</v>
      </c>
      <c r="M50" s="10">
        <v>0</v>
      </c>
      <c r="N50" s="10">
        <v>0</v>
      </c>
      <c r="O50" s="10">
        <v>0</v>
      </c>
      <c r="P50" s="17">
        <f t="shared" si="5"/>
        <v>0</v>
      </c>
      <c r="X50" s="16"/>
    </row>
    <row r="51" spans="1:24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>
        <v>0</v>
      </c>
      <c r="M51" s="10">
        <v>0</v>
      </c>
      <c r="N51" s="10">
        <v>0</v>
      </c>
      <c r="O51" s="10">
        <v>0</v>
      </c>
      <c r="P51" s="17">
        <f t="shared" si="5"/>
        <v>0</v>
      </c>
    </row>
    <row r="52" spans="1:24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>
        <v>0</v>
      </c>
      <c r="M52" s="10">
        <v>0</v>
      </c>
      <c r="N52" s="10">
        <v>0</v>
      </c>
      <c r="O52" s="10">
        <v>0</v>
      </c>
      <c r="P52" s="17">
        <f t="shared" si="5"/>
        <v>0</v>
      </c>
    </row>
    <row r="53" spans="1:24">
      <c r="A53" s="7" t="s">
        <v>42</v>
      </c>
      <c r="B53" s="8"/>
      <c r="C53" s="8"/>
      <c r="J53" s="45"/>
      <c r="K53" s="24"/>
      <c r="O53" s="16"/>
    </row>
    <row r="54" spans="1:24">
      <c r="A54" s="9" t="s">
        <v>43</v>
      </c>
      <c r="B54" s="35">
        <v>260000000</v>
      </c>
      <c r="C54" s="10">
        <v>0</v>
      </c>
      <c r="D54" s="15">
        <v>2493341</v>
      </c>
      <c r="E54" s="15">
        <v>7635256</v>
      </c>
      <c r="F54" s="15">
        <v>6158935</v>
      </c>
      <c r="G54" s="21">
        <f>9819292+2536169</f>
        <v>12355461</v>
      </c>
      <c r="H54" s="21">
        <v>14284383</v>
      </c>
      <c r="I54" s="21">
        <v>19271367</v>
      </c>
      <c r="J54" s="23">
        <v>19189570</v>
      </c>
      <c r="K54" s="25">
        <f>17160661+5789820</f>
        <v>22950481</v>
      </c>
      <c r="L54" s="13">
        <v>12476706</v>
      </c>
      <c r="M54" s="13">
        <f>12658507+5556948</f>
        <v>18215455</v>
      </c>
      <c r="N54" s="13">
        <f>57386737+7625985</f>
        <v>65012722</v>
      </c>
      <c r="O54" s="16">
        <v>11190318</v>
      </c>
      <c r="P54" s="17">
        <f>SUM(D54:O54)</f>
        <v>211233995</v>
      </c>
    </row>
    <row r="55" spans="1:24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5"/>
      <c r="L55" s="10">
        <v>0</v>
      </c>
      <c r="M55" s="10">
        <v>0</v>
      </c>
      <c r="N55" s="10">
        <v>0</v>
      </c>
      <c r="O55" s="10">
        <v>0</v>
      </c>
      <c r="P55" s="17">
        <f t="shared" ref="P55:P62" si="6">SUM(D55:O55)</f>
        <v>0</v>
      </c>
    </row>
    <row r="56" spans="1:24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>
        <v>0</v>
      </c>
      <c r="M56" s="10">
        <v>0</v>
      </c>
      <c r="N56" s="10">
        <v>0</v>
      </c>
      <c r="O56" s="10">
        <v>0</v>
      </c>
      <c r="P56" s="17">
        <f t="shared" si="6"/>
        <v>0</v>
      </c>
    </row>
    <row r="57" spans="1:24">
      <c r="A57" s="9" t="s">
        <v>46</v>
      </c>
      <c r="B57" s="35">
        <v>40000000</v>
      </c>
      <c r="C57" s="10">
        <v>0</v>
      </c>
      <c r="D57" s="26">
        <v>0</v>
      </c>
      <c r="E57" s="15">
        <v>0</v>
      </c>
      <c r="F57" s="15">
        <v>11390040</v>
      </c>
      <c r="G57" s="10">
        <v>0</v>
      </c>
      <c r="H57" s="14">
        <v>5607740</v>
      </c>
      <c r="I57" s="10">
        <v>0</v>
      </c>
      <c r="J57" s="22">
        <v>2803870</v>
      </c>
      <c r="K57" s="58">
        <v>11215480</v>
      </c>
      <c r="L57" s="10">
        <v>495000</v>
      </c>
      <c r="M57" s="17">
        <v>1401935</v>
      </c>
      <c r="N57" s="17">
        <v>165000</v>
      </c>
      <c r="O57" s="10">
        <v>6598000</v>
      </c>
      <c r="P57" s="17">
        <f t="shared" si="6"/>
        <v>39677065</v>
      </c>
      <c r="X57" s="16"/>
    </row>
    <row r="58" spans="1:24">
      <c r="A58" s="9" t="s">
        <v>47</v>
      </c>
      <c r="B58" s="35">
        <v>100000000</v>
      </c>
      <c r="C58" s="10">
        <v>0</v>
      </c>
      <c r="D58" s="15">
        <v>43687155</v>
      </c>
      <c r="E58" s="15">
        <v>7566574</v>
      </c>
      <c r="F58" s="15">
        <v>3027463</v>
      </c>
      <c r="G58" s="21">
        <v>664920</v>
      </c>
      <c r="H58" s="21">
        <v>3729410</v>
      </c>
      <c r="I58" s="21">
        <v>12092667</v>
      </c>
      <c r="J58" s="23">
        <v>3519727</v>
      </c>
      <c r="K58" s="25">
        <f>107395199-101786175-11810</f>
        <v>5597214</v>
      </c>
      <c r="L58" s="16">
        <v>3927892</v>
      </c>
      <c r="M58" s="13">
        <v>2932154</v>
      </c>
      <c r="N58" s="13">
        <v>3913010</v>
      </c>
      <c r="O58" s="16">
        <v>950807</v>
      </c>
      <c r="P58" s="17">
        <f>SUM(D58:O58)</f>
        <v>91608993</v>
      </c>
      <c r="X58" s="16"/>
    </row>
    <row r="59" spans="1:24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/>
      <c r="L59" s="10">
        <v>0</v>
      </c>
      <c r="M59" s="10">
        <v>0</v>
      </c>
      <c r="N59" s="10">
        <v>0</v>
      </c>
      <c r="O59" s="10">
        <v>0</v>
      </c>
      <c r="P59" s="17">
        <f t="shared" si="6"/>
        <v>0</v>
      </c>
      <c r="X59" s="16"/>
    </row>
    <row r="60" spans="1:24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/>
      <c r="L60" s="10">
        <v>0</v>
      </c>
      <c r="M60" s="10">
        <v>0</v>
      </c>
      <c r="N60" s="10">
        <v>0</v>
      </c>
      <c r="O60" s="10">
        <v>0</v>
      </c>
      <c r="P60" s="17">
        <f t="shared" si="6"/>
        <v>0</v>
      </c>
      <c r="X60" s="16"/>
    </row>
    <row r="61" spans="1:24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/>
      <c r="L61" s="10">
        <v>0</v>
      </c>
      <c r="M61" s="10">
        <v>0</v>
      </c>
      <c r="N61" s="10">
        <v>0</v>
      </c>
      <c r="O61" s="10">
        <v>0</v>
      </c>
      <c r="P61" s="17">
        <f t="shared" si="6"/>
        <v>0</v>
      </c>
      <c r="X61" s="16"/>
    </row>
    <row r="62" spans="1:24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7">
        <v>41194717</v>
      </c>
      <c r="O62" s="10">
        <v>135000000</v>
      </c>
      <c r="P62" s="17">
        <f t="shared" si="6"/>
        <v>176194717</v>
      </c>
      <c r="X62" s="16"/>
    </row>
    <row r="63" spans="1:24">
      <c r="A63" s="7" t="s">
        <v>52</v>
      </c>
      <c r="B63" s="47"/>
      <c r="C63" s="8"/>
      <c r="J63" s="45"/>
      <c r="K63" s="45"/>
      <c r="O63" s="16"/>
      <c r="X63" s="16"/>
    </row>
    <row r="64" spans="1:24">
      <c r="A64" s="9" t="s">
        <v>53</v>
      </c>
      <c r="B64" s="35">
        <v>430000000</v>
      </c>
      <c r="C64" s="10">
        <v>0</v>
      </c>
      <c r="D64" s="15">
        <v>3490007</v>
      </c>
      <c r="E64" s="15">
        <v>0</v>
      </c>
      <c r="F64" s="15">
        <v>1656757</v>
      </c>
      <c r="G64" s="10">
        <v>1309128</v>
      </c>
      <c r="H64" s="14">
        <v>1451932</v>
      </c>
      <c r="I64" s="10">
        <v>145000000</v>
      </c>
      <c r="J64" s="22">
        <v>7583559</v>
      </c>
      <c r="K64" s="58">
        <v>0</v>
      </c>
      <c r="L64" s="10">
        <v>0</v>
      </c>
      <c r="M64" s="13"/>
      <c r="N64" s="13"/>
      <c r="O64" s="16"/>
      <c r="P64" s="17">
        <f t="shared" ref="P64:P74" si="8">SUM(D64:O64)</f>
        <v>160491383</v>
      </c>
      <c r="X64" s="16"/>
    </row>
    <row r="65" spans="1:24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7">
        <v>0</v>
      </c>
      <c r="K68" s="47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7"/>
      <c r="K71" s="47"/>
      <c r="O71" s="8"/>
      <c r="P71" s="17">
        <f t="shared" si="8"/>
        <v>0</v>
      </c>
      <c r="X71" s="16"/>
    </row>
    <row r="72" spans="1:24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8"/>
      <c r="K75" s="48"/>
      <c r="L75" s="6"/>
      <c r="M75" s="6"/>
      <c r="N75" s="6"/>
      <c r="O75" s="32"/>
      <c r="P75" s="6"/>
    </row>
    <row r="76" spans="1:24">
      <c r="A76" s="7" t="s">
        <v>67</v>
      </c>
      <c r="B76" s="8"/>
      <c r="C76" s="8"/>
      <c r="J76" s="45"/>
      <c r="K76" s="45"/>
      <c r="O76" s="16"/>
    </row>
    <row r="77" spans="1:24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7"/>
      <c r="K79" s="47"/>
      <c r="O79" s="8"/>
      <c r="P79" s="17">
        <f t="shared" si="11"/>
        <v>0</v>
      </c>
    </row>
    <row r="80" spans="1:24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7">
        <v>0</v>
      </c>
      <c r="K82" s="47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>
      <c r="A84" s="27" t="s">
        <v>64</v>
      </c>
      <c r="B84" s="36">
        <f>SUM(B11:B83)</f>
        <v>6457271422</v>
      </c>
      <c r="C84" s="28">
        <f>SUM(C12:C83)</f>
        <v>0</v>
      </c>
      <c r="D84" s="29">
        <f>SUM(D11:D83)</f>
        <v>478504809</v>
      </c>
      <c r="E84" s="29">
        <f>SUM(E12:E83)</f>
        <v>402751990</v>
      </c>
      <c r="F84" s="29">
        <f>SUM(F11:F83)</f>
        <v>475118331</v>
      </c>
      <c r="G84" s="29">
        <f>SUM(G11:G83)</f>
        <v>517132963</v>
      </c>
      <c r="H84" s="29">
        <f>SUM(H11:H83)</f>
        <v>536050192</v>
      </c>
      <c r="I84" s="29">
        <f>SUM(I12:I83)</f>
        <v>737905941</v>
      </c>
      <c r="J84" s="29">
        <f>SUM(J11:J83)</f>
        <v>629217891</v>
      </c>
      <c r="K84" s="63">
        <f>SUM(K12:K83)</f>
        <v>534584218</v>
      </c>
      <c r="L84" s="60">
        <f>SUM(L12:L83)</f>
        <v>537223620</v>
      </c>
      <c r="M84" s="60">
        <f>SUM(M12:M83)</f>
        <v>528231789</v>
      </c>
      <c r="N84" s="60">
        <f>SUM(N12:N83)</f>
        <v>574630179.43000007</v>
      </c>
      <c r="O84" s="33">
        <f>SUM(O11:O83)</f>
        <v>703623601</v>
      </c>
      <c r="P84" s="28">
        <f>SUM(P12:P83)</f>
        <v>6654975524.4300003</v>
      </c>
    </row>
    <row r="85" spans="1:22">
      <c r="B85" s="10"/>
      <c r="C85" s="30"/>
    </row>
    <row r="86" spans="1:22">
      <c r="D86" s="16"/>
      <c r="E86" s="52"/>
      <c r="J86" s="14"/>
      <c r="P86" s="14"/>
      <c r="V86" s="16"/>
    </row>
    <row r="87" spans="1:22">
      <c r="A87" s="2" t="s">
        <v>94</v>
      </c>
      <c r="D87" s="14"/>
      <c r="P87" s="14"/>
      <c r="V87" s="16"/>
    </row>
    <row r="88" spans="1:22">
      <c r="D88" s="14"/>
      <c r="E88" s="14"/>
      <c r="H88" s="14"/>
      <c r="P88" s="13"/>
    </row>
    <row r="89" spans="1:22">
      <c r="A89" s="66"/>
      <c r="B89" s="66"/>
      <c r="V89" s="16"/>
    </row>
    <row r="90" spans="1:22" customFormat="1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>
      <c r="A91" s="79" t="s">
        <v>95</v>
      </c>
      <c r="B91" s="79"/>
      <c r="C91" s="1"/>
      <c r="D91" s="1"/>
      <c r="E91" s="1"/>
      <c r="F91" s="1"/>
      <c r="G91" s="1"/>
      <c r="H91" s="65" t="s">
        <v>96</v>
      </c>
      <c r="I91" s="65"/>
      <c r="J91" s="1"/>
      <c r="K91" s="1"/>
      <c r="L91" s="1"/>
      <c r="M91" s="1"/>
      <c r="N91" s="1"/>
    </row>
    <row r="92" spans="1:22" customFormat="1" ht="15.75">
      <c r="A92" s="5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>
      <c r="A93" s="5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>
      <c r="A94" s="64" t="s">
        <v>98</v>
      </c>
      <c r="B94" s="64"/>
      <c r="C94" s="1"/>
      <c r="D94" s="1"/>
      <c r="E94" s="1"/>
      <c r="F94" s="1"/>
      <c r="G94" s="1"/>
      <c r="H94" s="64" t="s">
        <v>100</v>
      </c>
      <c r="I94" s="64"/>
      <c r="J94" s="1"/>
      <c r="K94" s="1"/>
      <c r="L94" s="1"/>
      <c r="M94" s="1"/>
      <c r="N94" s="1"/>
    </row>
    <row r="95" spans="1:22" customFormat="1" ht="15.75">
      <c r="A95" s="65" t="s">
        <v>99</v>
      </c>
      <c r="B95" s="65"/>
      <c r="C95" s="1"/>
      <c r="D95" s="1"/>
      <c r="E95" s="1"/>
      <c r="F95" s="1"/>
      <c r="G95" s="1"/>
      <c r="H95" s="65" t="s">
        <v>97</v>
      </c>
      <c r="I95" s="65"/>
      <c r="J95" s="1"/>
      <c r="K95" s="1"/>
      <c r="L95" s="1"/>
      <c r="M95" s="1"/>
      <c r="N95" s="1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>
      <c r="A99" s="66"/>
      <c r="B99" s="66"/>
      <c r="H99" s="66"/>
      <c r="I99" s="66"/>
      <c r="J99" s="78"/>
      <c r="K99" s="66"/>
    </row>
    <row r="100" spans="1:16">
      <c r="A100" s="31"/>
      <c r="G100" s="37"/>
      <c r="P100" s="16"/>
    </row>
    <row r="101" spans="1:16">
      <c r="A101" s="31"/>
      <c r="G101" s="16"/>
      <c r="P101" s="16"/>
    </row>
    <row r="102" spans="1:16">
      <c r="A102" s="67"/>
      <c r="B102" s="67"/>
      <c r="H102" s="67"/>
      <c r="I102" s="67"/>
      <c r="J102" s="67"/>
      <c r="K102" s="67"/>
      <c r="P102" s="16"/>
    </row>
    <row r="103" spans="1:16">
      <c r="A103" s="66"/>
      <c r="B103" s="66"/>
      <c r="H103" s="66"/>
      <c r="I103" s="66"/>
      <c r="J103" s="66"/>
      <c r="K103" s="66"/>
    </row>
    <row r="104" spans="1:16">
      <c r="G104" s="37"/>
      <c r="P104" s="16"/>
    </row>
    <row r="107" spans="1:16">
      <c r="A107" s="31"/>
      <c r="D107" s="37"/>
    </row>
    <row r="108" spans="1:16">
      <c r="A108" s="31"/>
      <c r="D108" s="16"/>
    </row>
    <row r="109" spans="1:16">
      <c r="A109" s="67"/>
      <c r="B109" s="67"/>
      <c r="H109" s="67"/>
      <c r="I109" s="67"/>
      <c r="J109" s="67"/>
      <c r="K109" s="67"/>
    </row>
    <row r="110" spans="1:16">
      <c r="A110" s="66"/>
      <c r="B110" s="66"/>
      <c r="H110" s="66"/>
      <c r="I110" s="66"/>
      <c r="J110" s="66"/>
      <c r="K110" s="66"/>
    </row>
    <row r="111" spans="1:16">
      <c r="D111" s="37"/>
    </row>
    <row r="119" spans="4:9">
      <c r="D119" s="16"/>
    </row>
    <row r="120" spans="4:9">
      <c r="D120" s="16"/>
    </row>
    <row r="121" spans="4:9">
      <c r="D121" s="16"/>
    </row>
    <row r="123" spans="4:9">
      <c r="I123" s="16"/>
    </row>
    <row r="124" spans="4:9">
      <c r="I124" s="16"/>
    </row>
    <row r="125" spans="4:9">
      <c r="I125" s="16"/>
    </row>
    <row r="126" spans="4:9">
      <c r="I126" s="16"/>
    </row>
    <row r="127" spans="4:9">
      <c r="I127" s="16"/>
    </row>
    <row r="128" spans="4:9">
      <c r="I128" s="16"/>
    </row>
    <row r="129" spans="9:9">
      <c r="I129" s="16"/>
    </row>
    <row r="130" spans="9:9">
      <c r="I130" s="16"/>
    </row>
    <row r="131" spans="9:9">
      <c r="I131" s="16"/>
    </row>
    <row r="132" spans="9:9">
      <c r="I132" s="16"/>
    </row>
    <row r="133" spans="9:9">
      <c r="I133" s="16"/>
    </row>
    <row r="134" spans="9:9">
      <c r="I134" s="16"/>
    </row>
    <row r="135" spans="9:9">
      <c r="I135" s="16"/>
    </row>
    <row r="136" spans="9:9">
      <c r="I136" s="16"/>
    </row>
    <row r="137" spans="9:9">
      <c r="I137" s="16"/>
    </row>
    <row r="138" spans="9:9">
      <c r="I138" s="16"/>
    </row>
    <row r="139" spans="9:9">
      <c r="I139" s="16"/>
    </row>
    <row r="140" spans="9:9">
      <c r="I140" s="16"/>
    </row>
    <row r="141" spans="9:9">
      <c r="I141" s="16"/>
    </row>
    <row r="142" spans="9:9">
      <c r="I142" s="16"/>
    </row>
    <row r="143" spans="9:9">
      <c r="I143" s="16"/>
    </row>
    <row r="144" spans="9:9">
      <c r="I144" s="16"/>
    </row>
    <row r="145" spans="9:9">
      <c r="I145" s="16"/>
    </row>
    <row r="146" spans="9:9">
      <c r="I146" s="16"/>
    </row>
    <row r="147" spans="9:9">
      <c r="I147" s="16"/>
    </row>
    <row r="148" spans="9:9">
      <c r="I148" s="16"/>
    </row>
    <row r="149" spans="9:9">
      <c r="I149" s="16"/>
    </row>
    <row r="150" spans="9:9">
      <c r="I150" s="16"/>
    </row>
    <row r="151" spans="9:9">
      <c r="I151" s="16"/>
    </row>
    <row r="152" spans="9:9">
      <c r="I152" s="16"/>
    </row>
    <row r="153" spans="9:9">
      <c r="I153" s="16"/>
    </row>
    <row r="154" spans="9:9">
      <c r="I154" s="16"/>
    </row>
    <row r="155" spans="9:9">
      <c r="I155" s="16"/>
    </row>
    <row r="156" spans="9:9">
      <c r="I156" s="16"/>
    </row>
    <row r="157" spans="9:9">
      <c r="I157" s="16"/>
    </row>
    <row r="158" spans="9:9">
      <c r="I158" s="16"/>
    </row>
    <row r="159" spans="9:9">
      <c r="I159" s="16"/>
    </row>
    <row r="160" spans="9:9">
      <c r="I160" s="16"/>
    </row>
    <row r="161" spans="9:9">
      <c r="I161" s="16"/>
    </row>
    <row r="162" spans="9:9">
      <c r="I162" s="16"/>
    </row>
    <row r="163" spans="9:9">
      <c r="I163" s="16"/>
    </row>
  </sheetData>
  <mergeCells count="30"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94:B94"/>
    <mergeCell ref="H94:I94"/>
    <mergeCell ref="A95:B95"/>
    <mergeCell ref="H95:I95"/>
    <mergeCell ref="A110:B110"/>
    <mergeCell ref="H110:I110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Pedro Santos</cp:lastModifiedBy>
  <cp:lastPrinted>2023-12-08T19:06:17Z</cp:lastPrinted>
  <dcterms:created xsi:type="dcterms:W3CDTF">2021-07-29T18:58:50Z</dcterms:created>
  <dcterms:modified xsi:type="dcterms:W3CDTF">2024-01-15T14:15:17Z</dcterms:modified>
</cp:coreProperties>
</file>